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state="hidden" r:id="rId2"/>
    <sheet name="Sheet3" sheetId="3" state="hidden" r:id="rId3"/>
  </sheets>
  <definedNames/>
  <calcPr fullCalcOnLoad="1"/>
</workbook>
</file>

<file path=xl/sharedStrings.xml><?xml version="1.0" encoding="utf-8"?>
<sst xmlns="http://schemas.openxmlformats.org/spreadsheetml/2006/main" count="72" uniqueCount="33">
  <si>
    <t>Sn</t>
  </si>
  <si>
    <t>Ag</t>
  </si>
  <si>
    <t>Cu</t>
  </si>
  <si>
    <t>Solder Analysis Results</t>
  </si>
  <si>
    <t>Element</t>
  </si>
  <si>
    <t>Weight %</t>
  </si>
  <si>
    <t>SAC Alloy desired</t>
  </si>
  <si>
    <t>Solder Pot Mass</t>
  </si>
  <si>
    <t>Must be Manually entered</t>
  </si>
  <si>
    <t>Pure Tin to Add</t>
  </si>
  <si>
    <t>Sn95Ag05 to Add</t>
  </si>
  <si>
    <t>Ending Composition After Bar Additions</t>
  </si>
  <si>
    <t>Weight of Solder to Add</t>
  </si>
  <si>
    <t>Sn97Cu03 to Add</t>
  </si>
  <si>
    <t>Au</t>
  </si>
  <si>
    <t>Sb</t>
  </si>
  <si>
    <t>Cd</t>
  </si>
  <si>
    <t>Zn</t>
  </si>
  <si>
    <t>Al</t>
  </si>
  <si>
    <t>Fe</t>
  </si>
  <si>
    <t>As</t>
  </si>
  <si>
    <t>Bi</t>
  </si>
  <si>
    <t>Ni</t>
  </si>
  <si>
    <t>In</t>
  </si>
  <si>
    <t>Dip Soldering</t>
  </si>
  <si>
    <t>Wave Soldering</t>
  </si>
  <si>
    <t>Impurities</t>
  </si>
  <si>
    <t>Pb</t>
  </si>
  <si>
    <t>Total</t>
  </si>
  <si>
    <t>Au, Cd, Zn and Al impurities combined</t>
  </si>
  <si>
    <t>Must = 100</t>
  </si>
  <si>
    <t xml:space="preserve">Impurity specifications are those stated in IPC J-STD-001.  
</t>
  </si>
  <si>
    <t>Kester reserves the right to amend this material at any time without prior notice.  The SAC solder pot calculator is the sole property of Kester and as such cannot be reproduced without the written consent of Kester.  The information contained herein is considered accurate and is offered at no charge.  No warranty is expressed or implied.  Liability is expressly disclaimed for any loss or injury arising out of this information or use.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</si>
</sst>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5">
    <font>
      <sz val="10"/>
      <name val="Arial"/>
      <family val="0"/>
    </font>
    <font>
      <u val="single"/>
      <sz val="10"/>
      <color indexed="12"/>
      <name val="Arial"/>
      <family val="0"/>
    </font>
    <font>
      <u val="single"/>
      <sz val="10"/>
      <color indexed="36"/>
      <name val="Arial"/>
      <family val="0"/>
    </font>
    <font>
      <b/>
      <sz val="10"/>
      <name val="Arial"/>
      <family val="2"/>
    </font>
    <font>
      <sz val="6"/>
      <name val="Arial"/>
      <family val="0"/>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2" borderId="0" xfId="0" applyFill="1" applyAlignment="1">
      <alignment/>
    </xf>
    <xf numFmtId="0" fontId="3" fillId="0" borderId="0" xfId="0" applyFont="1" applyAlignment="1">
      <alignment/>
    </xf>
    <xf numFmtId="1" fontId="0" fillId="0" borderId="0" xfId="0" applyNumberFormat="1" applyFill="1" applyAlignment="1">
      <alignment/>
    </xf>
    <xf numFmtId="0" fontId="3" fillId="3" borderId="0" xfId="0" applyFont="1" applyFill="1" applyAlignment="1">
      <alignment/>
    </xf>
    <xf numFmtId="1" fontId="0" fillId="3" borderId="0" xfId="0" applyNumberFormat="1" applyFill="1" applyAlignment="1">
      <alignment/>
    </xf>
    <xf numFmtId="0" fontId="0" fillId="3" borderId="0" xfId="0" applyFill="1" applyAlignment="1">
      <alignment/>
    </xf>
    <xf numFmtId="1" fontId="0" fillId="0" borderId="0" xfId="0" applyNumberFormat="1" applyAlignment="1" applyProtection="1">
      <alignment/>
      <protection/>
    </xf>
    <xf numFmtId="2" fontId="0" fillId="0" borderId="0" xfId="0" applyNumberFormat="1" applyAlignment="1" applyProtection="1">
      <alignment/>
      <protection/>
    </xf>
    <xf numFmtId="1" fontId="0" fillId="0" borderId="0" xfId="0" applyNumberFormat="1" applyFill="1" applyAlignment="1" applyProtection="1">
      <alignment/>
      <protection/>
    </xf>
    <xf numFmtId="0" fontId="0" fillId="2" borderId="0" xfId="0" applyFill="1" applyAlignment="1" applyProtection="1">
      <alignment/>
      <protection locked="0"/>
    </xf>
    <xf numFmtId="0" fontId="0" fillId="0" borderId="0" xfId="0" applyAlignment="1">
      <alignment horizontal="center"/>
    </xf>
    <xf numFmtId="0" fontId="3" fillId="0" borderId="1" xfId="0" applyFont="1" applyBorder="1" applyAlignment="1">
      <alignment/>
    </xf>
    <xf numFmtId="0" fontId="0" fillId="0" borderId="1" xfId="0" applyBorder="1" applyAlignment="1">
      <alignment/>
    </xf>
    <xf numFmtId="0" fontId="0" fillId="0" borderId="1" xfId="0" applyBorder="1" applyAlignment="1">
      <alignment horizontal="center"/>
    </xf>
    <xf numFmtId="0" fontId="3" fillId="0" borderId="1" xfId="0" applyFont="1" applyFill="1" applyBorder="1" applyAlignment="1">
      <alignment/>
    </xf>
    <xf numFmtId="0" fontId="0" fillId="0" borderId="1" xfId="0" applyFill="1" applyBorder="1" applyAlignment="1">
      <alignment/>
    </xf>
    <xf numFmtId="0" fontId="0" fillId="0" borderId="0" xfId="0" applyBorder="1" applyAlignment="1">
      <alignment/>
    </xf>
    <xf numFmtId="0" fontId="0" fillId="0" borderId="2" xfId="0" applyBorder="1" applyAlignment="1">
      <alignment/>
    </xf>
    <xf numFmtId="0" fontId="0" fillId="0" borderId="2"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3" xfId="0" applyFont="1" applyBorder="1" applyAlignment="1">
      <alignment horizontal="center"/>
    </xf>
    <xf numFmtId="0" fontId="0" fillId="0" borderId="0" xfId="0" applyAlignment="1">
      <alignment/>
    </xf>
    <xf numFmtId="2" fontId="0" fillId="0" borderId="2" xfId="0" applyNumberFormat="1" applyFont="1" applyBorder="1" applyAlignment="1">
      <alignment horizontal="center"/>
    </xf>
    <xf numFmtId="2" fontId="0" fillId="0" borderId="1" xfId="0" applyNumberFormat="1" applyFont="1" applyBorder="1" applyAlignment="1">
      <alignment horizontal="center"/>
    </xf>
    <xf numFmtId="169" fontId="0" fillId="0" borderId="1" xfId="0" applyNumberFormat="1" applyBorder="1" applyAlignment="1">
      <alignment horizontal="center"/>
    </xf>
    <xf numFmtId="2" fontId="0" fillId="2"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169" fontId="0" fillId="2" borderId="1" xfId="0" applyNumberFormat="1" applyFill="1" applyBorder="1" applyAlignment="1" applyProtection="1">
      <alignment horizontal="center"/>
      <protection locked="0"/>
    </xf>
    <xf numFmtId="169" fontId="0" fillId="0" borderId="0" xfId="0" applyNumberFormat="1" applyAlignment="1">
      <alignment horizontal="center"/>
    </xf>
    <xf numFmtId="0" fontId="0" fillId="0" borderId="0" xfId="0" applyAlignment="1">
      <alignment horizontal="left"/>
    </xf>
    <xf numFmtId="0" fontId="0" fillId="0" borderId="0" xfId="0" applyAlignment="1">
      <alignment vertical="top"/>
    </xf>
    <xf numFmtId="0" fontId="0" fillId="0" borderId="4" xfId="0" applyBorder="1" applyAlignment="1">
      <alignment horizontal="center"/>
    </xf>
    <xf numFmtId="0" fontId="0" fillId="0" borderId="5" xfId="0" applyBorder="1" applyAlignment="1">
      <alignment horizontal="center"/>
    </xf>
    <xf numFmtId="2" fontId="0" fillId="2" borderId="0" xfId="0" applyNumberFormat="1" applyFill="1" applyAlignment="1" applyProtection="1">
      <alignment horizontal="center"/>
      <protection locked="0"/>
    </xf>
    <xf numFmtId="2" fontId="0" fillId="0" borderId="0" xfId="0" applyNumberFormat="1" applyAlignment="1">
      <alignment horizontal="center"/>
    </xf>
    <xf numFmtId="0" fontId="0" fillId="0" borderId="0" xfId="0" applyAlignment="1">
      <alignmen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vertical="top"/>
    </xf>
    <xf numFmtId="0" fontId="4" fillId="0" borderId="0" xfId="0" applyFont="1" applyAlignment="1">
      <alignment wrapText="1"/>
    </xf>
    <xf numFmtId="0" fontId="4"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2</xdr:col>
      <xdr:colOff>190500</xdr:colOff>
      <xdr:row>4</xdr:row>
      <xdr:rowOff>114300</xdr:rowOff>
    </xdr:to>
    <xdr:pic>
      <xdr:nvPicPr>
        <xdr:cNvPr id="1" name="Picture 1"/>
        <xdr:cNvPicPr preferRelativeResize="1">
          <a:picLocks noChangeAspect="1"/>
        </xdr:cNvPicPr>
      </xdr:nvPicPr>
      <xdr:blipFill>
        <a:blip r:embed="rId1"/>
        <a:stretch>
          <a:fillRect/>
        </a:stretch>
      </xdr:blipFill>
      <xdr:spPr>
        <a:xfrm>
          <a:off x="247650" y="57150"/>
          <a:ext cx="12763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M38"/>
  <sheetViews>
    <sheetView showGridLines="0" tabSelected="1" workbookViewId="0" topLeftCell="A1">
      <selection activeCell="C8" sqref="C8"/>
    </sheetView>
  </sheetViews>
  <sheetFormatPr defaultColWidth="9.140625" defaultRowHeight="12.75"/>
  <cols>
    <col min="1" max="1" width="3.57421875" style="0" customWidth="1"/>
    <col min="2" max="2" width="16.421875" style="0" customWidth="1"/>
    <col min="3" max="3" width="10.421875" style="0" customWidth="1"/>
    <col min="4" max="4" width="13.57421875" style="13" customWidth="1"/>
    <col min="5" max="5" width="12.28125" style="13" customWidth="1"/>
    <col min="9" max="9" width="13.57421875" style="0" customWidth="1"/>
    <col min="10" max="10" width="12.00390625" style="0" customWidth="1"/>
  </cols>
  <sheetData>
    <row r="1" ht="12.75"/>
    <row r="2" ht="12.75"/>
    <row r="3" ht="12.75"/>
    <row r="4" ht="12.75"/>
    <row r="5" ht="12.75"/>
    <row r="6" spans="2:10" ht="12.75">
      <c r="B6" s="14" t="s">
        <v>3</v>
      </c>
      <c r="C6" s="15"/>
      <c r="D6" s="35" t="s">
        <v>25</v>
      </c>
      <c r="E6" s="35" t="s">
        <v>24</v>
      </c>
      <c r="F6" s="19"/>
      <c r="G6" s="17" t="s">
        <v>11</v>
      </c>
      <c r="H6" s="18"/>
      <c r="I6" s="15"/>
      <c r="J6" s="15"/>
    </row>
    <row r="7" spans="2:12" ht="13.5" thickBot="1">
      <c r="B7" s="22" t="s">
        <v>4</v>
      </c>
      <c r="C7" s="23" t="s">
        <v>5</v>
      </c>
      <c r="D7" s="36" t="s">
        <v>26</v>
      </c>
      <c r="E7" s="36" t="s">
        <v>26</v>
      </c>
      <c r="F7" s="19"/>
      <c r="G7" s="22" t="s">
        <v>4</v>
      </c>
      <c r="H7" s="24" t="s">
        <v>5</v>
      </c>
      <c r="I7" s="23" t="s">
        <v>25</v>
      </c>
      <c r="J7" s="23" t="s">
        <v>24</v>
      </c>
      <c r="L7" s="4"/>
    </row>
    <row r="8" spans="2:10" ht="12.75">
      <c r="B8" s="20" t="s">
        <v>0</v>
      </c>
      <c r="C8" s="29">
        <v>96.1</v>
      </c>
      <c r="D8" s="21"/>
      <c r="E8" s="21"/>
      <c r="F8" s="19"/>
      <c r="G8" s="20" t="s">
        <v>0</v>
      </c>
      <c r="H8" s="26">
        <f>(Sheet2!B12*C32+100*Sheet2!C17+95*Sheet2!C18)/(C32+Sheet2!C17+Sheet2!C18)</f>
        <v>96.40000000000002</v>
      </c>
      <c r="I8" s="21"/>
      <c r="J8" s="21"/>
    </row>
    <row r="9" spans="2:10" ht="12.75">
      <c r="B9" s="15" t="s">
        <v>1</v>
      </c>
      <c r="C9" s="30">
        <v>3.2</v>
      </c>
      <c r="D9" s="16"/>
      <c r="E9" s="16"/>
      <c r="F9" s="19"/>
      <c r="G9" s="15" t="s">
        <v>1</v>
      </c>
      <c r="H9" s="27">
        <f>(Sheet2!B13*C32+5*Sheet2!C18)/(C32+Sheet2!C17+Sheet2!C18)</f>
        <v>2.999999999999999</v>
      </c>
      <c r="I9" s="16"/>
      <c r="J9" s="16"/>
    </row>
    <row r="10" spans="2:10" ht="12.75">
      <c r="B10" s="15" t="s">
        <v>2</v>
      </c>
      <c r="C10" s="30">
        <v>0.7</v>
      </c>
      <c r="D10" s="16"/>
      <c r="E10" s="16"/>
      <c r="F10" s="19"/>
      <c r="G10" s="15" t="s">
        <v>2</v>
      </c>
      <c r="H10" s="27">
        <f>Sheet2!B14*C32/(C32+Sheet2!C17+Sheet2!C18)</f>
        <v>0.6</v>
      </c>
      <c r="I10" s="16"/>
      <c r="J10" s="16"/>
    </row>
    <row r="11" spans="2:10" ht="12.75">
      <c r="B11" s="15" t="s">
        <v>14</v>
      </c>
      <c r="C11" s="31">
        <v>0.001</v>
      </c>
      <c r="D11" s="16" t="str">
        <f>IF(C11&gt;0.2,"Exceeds","OK")</f>
        <v>OK</v>
      </c>
      <c r="E11" s="16" t="str">
        <f>IF(C11&gt;0.5,"Exceeds","OK")</f>
        <v>OK</v>
      </c>
      <c r="F11" s="19"/>
      <c r="G11" s="15" t="s">
        <v>14</v>
      </c>
      <c r="H11" s="28">
        <f aca="true" t="shared" si="0" ref="H11:H21">C11*$C$32/($C$32+$G$30+$G$31+$G$32)</f>
        <v>0.0008347826086956524</v>
      </c>
      <c r="I11" s="16" t="str">
        <f>IF(H11&gt;0.2,"Exceeds","OK")</f>
        <v>OK</v>
      </c>
      <c r="J11" s="16" t="str">
        <f>IF(H11&gt;0.5,"Exceeds","OK")</f>
        <v>OK</v>
      </c>
    </row>
    <row r="12" spans="2:10" ht="12.75">
      <c r="B12" s="15" t="s">
        <v>15</v>
      </c>
      <c r="C12" s="31">
        <v>0</v>
      </c>
      <c r="D12" s="16" t="str">
        <f>IF(C12&gt;0.5,"Exceeds","OK")</f>
        <v>OK</v>
      </c>
      <c r="E12" s="16" t="str">
        <f>IF(C12&gt;0.5,"Exceeds","OK")</f>
        <v>OK</v>
      </c>
      <c r="F12" s="19"/>
      <c r="G12" s="15" t="s">
        <v>15</v>
      </c>
      <c r="H12" s="28">
        <f t="shared" si="0"/>
        <v>0</v>
      </c>
      <c r="I12" s="16" t="str">
        <f>IF(H12&gt;0.5,"Exceeds","OK")</f>
        <v>OK</v>
      </c>
      <c r="J12" s="16" t="str">
        <f>IF(H12&gt;0.5,"Exceeds","OK")</f>
        <v>OK</v>
      </c>
    </row>
    <row r="13" spans="2:10" ht="12.75">
      <c r="B13" s="15" t="s">
        <v>16</v>
      </c>
      <c r="C13" s="31">
        <v>0.001</v>
      </c>
      <c r="D13" s="16" t="str">
        <f>IF(C13&gt;0.005,"Exceeds","OK")</f>
        <v>OK</v>
      </c>
      <c r="E13" s="16" t="str">
        <f>IF(C13&gt;0.01,"Exceeds","OK")</f>
        <v>OK</v>
      </c>
      <c r="F13" s="19"/>
      <c r="G13" s="15" t="s">
        <v>16</v>
      </c>
      <c r="H13" s="28">
        <f t="shared" si="0"/>
        <v>0.0008347826086956524</v>
      </c>
      <c r="I13" s="16" t="str">
        <f>IF(H13&gt;0.005,"Exceeds","OK")</f>
        <v>OK</v>
      </c>
      <c r="J13" s="16" t="str">
        <f>IF(H13&gt;0.01,"Exceeds","OK")</f>
        <v>OK</v>
      </c>
    </row>
    <row r="14" spans="2:10" ht="12.75">
      <c r="B14" s="15" t="s">
        <v>17</v>
      </c>
      <c r="C14" s="31">
        <v>0</v>
      </c>
      <c r="D14" s="16" t="str">
        <f>IF(C14&gt;0.005,"Exceeds","OK")</f>
        <v>OK</v>
      </c>
      <c r="E14" s="16" t="str">
        <f>IF(C14&gt;0.008,"Exceeds","OK")</f>
        <v>OK</v>
      </c>
      <c r="F14" s="19"/>
      <c r="G14" s="15" t="s">
        <v>17</v>
      </c>
      <c r="H14" s="28">
        <f t="shared" si="0"/>
        <v>0</v>
      </c>
      <c r="I14" s="16" t="str">
        <f>IF(H14&gt;0.005,"Exceeds","OK")</f>
        <v>OK</v>
      </c>
      <c r="J14" s="16" t="str">
        <f>IF(H14&gt;0.008,"Exceeds","OK")</f>
        <v>OK</v>
      </c>
    </row>
    <row r="15" spans="2:10" ht="12.75">
      <c r="B15" s="15" t="s">
        <v>18</v>
      </c>
      <c r="C15" s="31">
        <v>0</v>
      </c>
      <c r="D15" s="16" t="str">
        <f>IF(C15&gt;0.006,"Exceeds","OK")</f>
        <v>OK</v>
      </c>
      <c r="E15" s="16" t="str">
        <f>IF(C15&gt;0.008,"Exceeds","OK")</f>
        <v>OK</v>
      </c>
      <c r="F15" s="19"/>
      <c r="G15" s="15" t="s">
        <v>18</v>
      </c>
      <c r="H15" s="28">
        <f t="shared" si="0"/>
        <v>0</v>
      </c>
      <c r="I15" s="16" t="str">
        <f>IF(H15&gt;0.006,"Exceeds","OK")</f>
        <v>OK</v>
      </c>
      <c r="J15" s="16" t="str">
        <f>IF(H15&gt;0.008,"Exceeds","OK")</f>
        <v>OK</v>
      </c>
    </row>
    <row r="16" spans="2:10" ht="12.75">
      <c r="B16" s="15" t="s">
        <v>19</v>
      </c>
      <c r="C16" s="31">
        <v>0</v>
      </c>
      <c r="D16" s="16" t="str">
        <f>IF(C16&gt;0.02,"Exceeds","OK")</f>
        <v>OK</v>
      </c>
      <c r="E16" s="16" t="str">
        <f>IF(C16&gt;0.02,"Exceeds","OK")</f>
        <v>OK</v>
      </c>
      <c r="F16" s="19"/>
      <c r="G16" s="15" t="s">
        <v>19</v>
      </c>
      <c r="H16" s="28">
        <f t="shared" si="0"/>
        <v>0</v>
      </c>
      <c r="I16" s="16" t="str">
        <f>IF(H16&gt;0.02,"Exceeds","OK")</f>
        <v>OK</v>
      </c>
      <c r="J16" s="16" t="str">
        <f>IF(H16&gt;0.02,"Exceeds","OK")</f>
        <v>OK</v>
      </c>
    </row>
    <row r="17" spans="2:10" ht="12.75">
      <c r="B17" s="15" t="s">
        <v>20</v>
      </c>
      <c r="C17" s="31">
        <v>0</v>
      </c>
      <c r="D17" s="16" t="str">
        <f>IF(C17&gt;0.03,"Exceeds","OK")</f>
        <v>OK</v>
      </c>
      <c r="E17" s="16" t="str">
        <f>IF(C17&gt;0.03,"Exceeds","OK")</f>
        <v>OK</v>
      </c>
      <c r="F17" s="19"/>
      <c r="G17" s="15" t="s">
        <v>20</v>
      </c>
      <c r="H17" s="28">
        <f t="shared" si="0"/>
        <v>0</v>
      </c>
      <c r="I17" s="16" t="str">
        <f>IF(H17&gt;0.03,"Exceeds","OK")</f>
        <v>OK</v>
      </c>
      <c r="J17" s="16" t="str">
        <f>IF(H17&gt;0.03,"Exceeds","OK")</f>
        <v>OK</v>
      </c>
    </row>
    <row r="18" spans="2:10" ht="12.75">
      <c r="B18" s="15" t="s">
        <v>21</v>
      </c>
      <c r="C18" s="31">
        <v>0</v>
      </c>
      <c r="D18" s="16" t="str">
        <f>IF(C18&gt;0.25,"Exceeds","OK")</f>
        <v>OK</v>
      </c>
      <c r="E18" s="16" t="str">
        <f>IF(C18&gt;0.25,"Exceeds","OK")</f>
        <v>OK</v>
      </c>
      <c r="F18" s="19"/>
      <c r="G18" s="15" t="s">
        <v>21</v>
      </c>
      <c r="H18" s="28">
        <f t="shared" si="0"/>
        <v>0</v>
      </c>
      <c r="I18" s="16" t="str">
        <f>IF(H18&gt;0.25,"Exceeds","OK")</f>
        <v>OK</v>
      </c>
      <c r="J18" s="16" t="str">
        <f>IF(H18&gt;0.25,"Exceeds","OK")</f>
        <v>OK</v>
      </c>
    </row>
    <row r="19" spans="2:10" ht="12.75">
      <c r="B19" s="15" t="s">
        <v>22</v>
      </c>
      <c r="C19" s="31">
        <v>0</v>
      </c>
      <c r="D19" s="16" t="str">
        <f>IF(C19&gt;0.01,"Exceeds","OK")</f>
        <v>OK</v>
      </c>
      <c r="E19" s="16" t="str">
        <f>IF(C19&gt;0.025,"Exceeds","OK")</f>
        <v>OK</v>
      </c>
      <c r="F19" s="19"/>
      <c r="G19" s="15" t="s">
        <v>22</v>
      </c>
      <c r="H19" s="28">
        <f t="shared" si="0"/>
        <v>0</v>
      </c>
      <c r="I19" s="16" t="str">
        <f>IF(H19&gt;0.01,"Exceeds","OK")</f>
        <v>OK</v>
      </c>
      <c r="J19" s="16" t="str">
        <f>IF(H19&gt;0.025,"Exceeds","OK")</f>
        <v>OK</v>
      </c>
    </row>
    <row r="20" spans="2:10" ht="12.75">
      <c r="B20" s="15" t="s">
        <v>23</v>
      </c>
      <c r="C20" s="31">
        <v>0</v>
      </c>
      <c r="D20" s="16" t="str">
        <f>IF(C20&gt;0.1,"Exceeds","OK")</f>
        <v>OK</v>
      </c>
      <c r="E20" s="16" t="str">
        <f>IF(C20&gt;0.1,"Exceeds","OK")</f>
        <v>OK</v>
      </c>
      <c r="F20" s="19"/>
      <c r="G20" s="15" t="s">
        <v>23</v>
      </c>
      <c r="H20" s="28">
        <f t="shared" si="0"/>
        <v>0</v>
      </c>
      <c r="I20" s="16" t="str">
        <f>IF(H20&gt;0.1,"Exceeds","OK")</f>
        <v>OK</v>
      </c>
      <c r="J20" s="16" t="str">
        <f>IF(H20&gt;0.1,"Exceeds","OK")</f>
        <v>OK</v>
      </c>
    </row>
    <row r="21" spans="2:10" ht="12.75">
      <c r="B21" s="15" t="s">
        <v>27</v>
      </c>
      <c r="C21" s="31">
        <v>0</v>
      </c>
      <c r="D21" s="16" t="str">
        <f>IF(C21&gt;0.1,"Exceeds","OK")</f>
        <v>OK</v>
      </c>
      <c r="E21" s="16" t="str">
        <f>IF(C21&gt;0.1,"Exceeds","OK")</f>
        <v>OK</v>
      </c>
      <c r="F21" s="19"/>
      <c r="G21" s="15" t="s">
        <v>27</v>
      </c>
      <c r="H21" s="28">
        <f t="shared" si="0"/>
        <v>0</v>
      </c>
      <c r="I21" s="16" t="str">
        <f>IF(H21&gt;0.1,"Exceeds","OK")</f>
        <v>OK</v>
      </c>
      <c r="J21" s="16" t="str">
        <f>IF(H21&gt;0.1,"Exceeds","OK")</f>
        <v>OK</v>
      </c>
    </row>
    <row r="22" spans="2:12" ht="12.75">
      <c r="B22" t="s">
        <v>28</v>
      </c>
      <c r="C22" s="32">
        <f>SUM(C8:C21)</f>
        <v>100.00200000000001</v>
      </c>
      <c r="D22" s="13" t="str">
        <f>IF(SUM(C11,C13,C14,C15)&gt;0.04,"Exceeds","OK")</f>
        <v>OK</v>
      </c>
      <c r="E22" s="40" t="s">
        <v>29</v>
      </c>
      <c r="F22" s="39"/>
      <c r="H22" s="1"/>
      <c r="I22" s="13" t="str">
        <f>IF(SUM(H11,H13,H14,H15)&lt;0.04,"OK","Exceeds")</f>
        <v>OK</v>
      </c>
      <c r="J22" s="41" t="str">
        <f>IF(I22="Exceeds","Au, Cd, Zn and Al impurities combined, replace half or entire pot with new SAC material.","Au, Cd, Zn and Al impurities combined")</f>
        <v>Au, Cd, Zn and Al impurities combined</v>
      </c>
      <c r="K22" s="42"/>
      <c r="L22" s="34"/>
    </row>
    <row r="23" spans="5:13" ht="12.75">
      <c r="E23" s="39"/>
      <c r="F23" s="39"/>
      <c r="I23" s="33"/>
      <c r="J23" s="42"/>
      <c r="K23" s="42"/>
      <c r="L23" s="34"/>
      <c r="M23" s="25"/>
    </row>
    <row r="24" spans="2:13" ht="13.5" customHeight="1">
      <c r="B24" s="4" t="s">
        <v>6</v>
      </c>
      <c r="D24" s="33"/>
      <c r="E24" s="33"/>
      <c r="H24" s="33"/>
      <c r="I24" s="33"/>
      <c r="J24" s="42"/>
      <c r="K24" s="42"/>
      <c r="L24" s="34"/>
      <c r="M24" s="25"/>
    </row>
    <row r="25" spans="2:11" ht="14.25" customHeight="1">
      <c r="B25" t="s">
        <v>4</v>
      </c>
      <c r="C25" s="13" t="s">
        <v>5</v>
      </c>
      <c r="E25" s="3"/>
      <c r="F25" t="s">
        <v>8</v>
      </c>
      <c r="J25" s="39"/>
      <c r="K25" s="39"/>
    </row>
    <row r="26" spans="2:5" ht="12.75">
      <c r="B26" t="s">
        <v>0</v>
      </c>
      <c r="C26" s="37">
        <v>96.5</v>
      </c>
      <c r="E26"/>
    </row>
    <row r="27" spans="2:13" ht="12.75">
      <c r="B27" t="s">
        <v>1</v>
      </c>
      <c r="C27" s="37">
        <v>3</v>
      </c>
      <c r="E27" s="8"/>
      <c r="F27" t="s">
        <v>12</v>
      </c>
      <c r="L27" s="13"/>
      <c r="M27" s="13"/>
    </row>
    <row r="28" spans="2:13" ht="12.75">
      <c r="B28" t="s">
        <v>2</v>
      </c>
      <c r="C28" s="37">
        <v>0.5</v>
      </c>
      <c r="L28" s="13"/>
      <c r="M28" s="13"/>
    </row>
    <row r="29" spans="2:13" ht="12.75">
      <c r="B29" t="s">
        <v>30</v>
      </c>
      <c r="C29" s="38">
        <f>C28+C27+C26</f>
        <v>100</v>
      </c>
      <c r="L29" s="13"/>
      <c r="M29" s="13"/>
    </row>
    <row r="30" spans="5:13" ht="12.75">
      <c r="E30" s="6" t="s">
        <v>13</v>
      </c>
      <c r="F30" s="8"/>
      <c r="G30" s="8">
        <f>IF(Sheet2!D2&lt;0,0,Sheet2!D2)/Sheet2!A16</f>
        <v>0</v>
      </c>
      <c r="H30" t="str">
        <f>IF(SUM(G30:G32)=0,"No action is needed, SAC alloy should be added to replace volume loss"," ")</f>
        <v> </v>
      </c>
      <c r="L30" s="13"/>
      <c r="M30" s="13"/>
    </row>
    <row r="31" spans="5:13" ht="12.75">
      <c r="E31" s="6" t="s">
        <v>9</v>
      </c>
      <c r="F31" s="8"/>
      <c r="G31" s="7">
        <f>IF(Sheet2!C3&lt;0,Sheet2!C9,Sheet2!C9+Sheet2!C3)</f>
        <v>72.91666666666666</v>
      </c>
      <c r="H31" t="str">
        <f>IF(SUM(G30:G32)&gt;C32*0.25,"Replace half to entire pot with new SAC material","Add bar as volume needs to be replaced")</f>
        <v>Add bar as volume needs to be replaced</v>
      </c>
      <c r="L31" s="13"/>
      <c r="M31" s="13"/>
    </row>
    <row r="32" spans="2:13" ht="12.75">
      <c r="B32" t="s">
        <v>7</v>
      </c>
      <c r="C32" s="12">
        <v>700</v>
      </c>
      <c r="E32" s="6" t="s">
        <v>10</v>
      </c>
      <c r="F32" s="8"/>
      <c r="G32" s="7">
        <f>IF(Sheet2!C12&lt;0,Sheet2!C14,Sheet2!C14+Sheet2!C12)</f>
        <v>65.62499999999989</v>
      </c>
      <c r="H32" t="str">
        <f>IF(C11&gt;0.004,"You are RICH! Consider selling pot to precious metal recycler"," ")</f>
        <v> </v>
      </c>
      <c r="L32" s="13"/>
      <c r="M32" s="13"/>
    </row>
    <row r="34" spans="2:12" ht="12.75">
      <c r="B34" s="43" t="s">
        <v>31</v>
      </c>
      <c r="C34" s="43"/>
      <c r="D34" s="43"/>
      <c r="E34" s="43"/>
      <c r="F34" s="43"/>
      <c r="G34" s="43"/>
      <c r="H34" s="43"/>
      <c r="I34" s="43"/>
      <c r="J34" s="43"/>
      <c r="K34" s="43"/>
      <c r="L34" s="25"/>
    </row>
    <row r="35" spans="2:12" ht="12.75">
      <c r="B35" s="45" t="s">
        <v>32</v>
      </c>
      <c r="C35" s="45"/>
      <c r="D35" s="45"/>
      <c r="E35" s="45"/>
      <c r="F35" s="45"/>
      <c r="G35" s="45"/>
      <c r="H35" s="45"/>
      <c r="I35" s="45"/>
      <c r="J35" s="45"/>
      <c r="K35" s="45"/>
      <c r="L35" s="25"/>
    </row>
    <row r="36" spans="2:12" ht="12.75">
      <c r="B36" s="45"/>
      <c r="C36" s="45"/>
      <c r="D36" s="45"/>
      <c r="E36" s="45"/>
      <c r="F36" s="45"/>
      <c r="G36" s="45"/>
      <c r="H36" s="45"/>
      <c r="I36" s="45"/>
      <c r="J36" s="45"/>
      <c r="K36" s="45"/>
      <c r="L36" s="25"/>
    </row>
    <row r="37" spans="2:12" ht="12.75">
      <c r="B37" s="44"/>
      <c r="C37" s="44"/>
      <c r="D37" s="44"/>
      <c r="E37" s="44"/>
      <c r="F37" s="44"/>
      <c r="G37" s="44"/>
      <c r="H37" s="44"/>
      <c r="I37" s="44"/>
      <c r="J37" s="44"/>
      <c r="K37" s="44"/>
      <c r="L37" s="25"/>
    </row>
    <row r="38" spans="2:11" ht="12.75">
      <c r="B38" s="44"/>
      <c r="C38" s="44"/>
      <c r="D38" s="44"/>
      <c r="E38" s="44"/>
      <c r="F38" s="44"/>
      <c r="G38" s="44"/>
      <c r="H38" s="44"/>
      <c r="I38" s="44"/>
      <c r="J38" s="44"/>
      <c r="K38" s="44"/>
    </row>
  </sheetData>
  <sheetProtection password="DA81" sheet="1" objects="1" scenarios="1" selectLockedCells="1"/>
  <mergeCells count="4">
    <mergeCell ref="E22:F23"/>
    <mergeCell ref="J22:K25"/>
    <mergeCell ref="B35:K36"/>
    <mergeCell ref="B37:K38"/>
  </mergeCells>
  <printOptions/>
  <pageMargins left="0.75" right="0.75" top="1" bottom="1" header="0.5" footer="0.5"/>
  <pageSetup horizontalDpi="600" verticalDpi="600" orientation="portrait" r:id="rId2"/>
  <ignoredErrors>
    <ignoredError sqref="D12 I12" formula="1"/>
  </ignoredErrors>
  <drawing r:id="rId1"/>
</worksheet>
</file>

<file path=xl/worksheets/sheet2.xml><?xml version="1.0" encoding="utf-8"?>
<worksheet xmlns="http://schemas.openxmlformats.org/spreadsheetml/2006/main" xmlns:r="http://schemas.openxmlformats.org/officeDocument/2006/relationships">
  <dimension ref="A1:D18"/>
  <sheetViews>
    <sheetView workbookViewId="0" topLeftCell="A1">
      <selection activeCell="C15" sqref="C15"/>
    </sheetView>
  </sheetViews>
  <sheetFormatPr defaultColWidth="9.140625" defaultRowHeight="12.75"/>
  <sheetData>
    <row r="1" spans="1:2" ht="12.75">
      <c r="A1" t="s">
        <v>4</v>
      </c>
      <c r="B1" t="s">
        <v>5</v>
      </c>
    </row>
    <row r="2" spans="1:4" ht="12.75">
      <c r="A2" t="s">
        <v>0</v>
      </c>
      <c r="B2" s="1">
        <f>((Sheet1!C8*Sheet1!C32+97*Sheet1!G30)/(Sheet1!C32+Sheet1!G30))</f>
        <v>96.1</v>
      </c>
      <c r="C2">
        <f>IF(D2&lt;0,0,D2)</f>
        <v>0</v>
      </c>
      <c r="D2" s="5">
        <f>(Sheet1!C28-Sheet1!C10)*Sheet1!C32/(3-Sheet1!C28)</f>
        <v>-55.999999999999986</v>
      </c>
    </row>
    <row r="3" spans="1:3" ht="12.75">
      <c r="A3" t="s">
        <v>1</v>
      </c>
      <c r="B3" s="1">
        <f>(Sheet1!C32*Sheet1!C9)/(Sheet1!C32+Sheet1!G30)</f>
        <v>3.2</v>
      </c>
      <c r="C3" s="2">
        <f>C12-C4</f>
        <v>26.24999999999995</v>
      </c>
    </row>
    <row r="4" spans="1:3" ht="12.75">
      <c r="A4" t="s">
        <v>2</v>
      </c>
      <c r="B4" s="1">
        <f>(Sheet1!C10*Sheet1!C32+3*Sheet1!G30)/(Sheet1!C32+Sheet1!G30)</f>
        <v>0.7</v>
      </c>
      <c r="C4" s="5">
        <f>C12/((5-Sheet1!C27)/Sheet1!C27+1)</f>
        <v>39.374999999999936</v>
      </c>
    </row>
    <row r="5" spans="1:2" ht="12.75">
      <c r="A5" s="1"/>
      <c r="B5" s="2"/>
    </row>
    <row r="6" spans="1:2" ht="12.75">
      <c r="A6" t="s">
        <v>4</v>
      </c>
      <c r="B6" t="s">
        <v>5</v>
      </c>
    </row>
    <row r="7" spans="1:3" ht="12.75">
      <c r="A7" t="s">
        <v>0</v>
      </c>
      <c r="B7" s="1">
        <f>(0.01*B2*Sheet1!C32+C9)/(Sheet1!C32+C9)*100</f>
        <v>96.34375</v>
      </c>
      <c r="C7" s="2">
        <f>IF(B2&lt;(Sheet1!C26-0.5),(Sheet1!C26-B2)*Sheet1!C32/(Sheet1!C26-1),0)</f>
        <v>0</v>
      </c>
    </row>
    <row r="8" spans="1:3" ht="12.75">
      <c r="A8" t="s">
        <v>1</v>
      </c>
      <c r="B8" s="10">
        <f>Sheet1!C32*B3/(Sheet1!C32+C9)</f>
        <v>2.9999999999999996</v>
      </c>
      <c r="C8" s="11">
        <f>IF(B3&gt;(Sheet1!C27+0.1),-Sheet1!C32*(Sheet1!C27-B3)/Sheet1!C27,0)</f>
        <v>46.66666666666671</v>
      </c>
    </row>
    <row r="9" spans="1:3" ht="12.75">
      <c r="A9" t="s">
        <v>2</v>
      </c>
      <c r="B9" s="10">
        <f>B4*Sheet1!C32/(Sheet1!C32+C9)</f>
        <v>0.6562499999999999</v>
      </c>
      <c r="C9" s="5">
        <f>IF(C8&lt;C7,C7,C8)</f>
        <v>46.66666666666671</v>
      </c>
    </row>
    <row r="11" spans="1:2" ht="12.75">
      <c r="A11" t="s">
        <v>4</v>
      </c>
      <c r="B11" t="s">
        <v>5</v>
      </c>
    </row>
    <row r="12" spans="1:3" ht="12.75">
      <c r="A12" t="s">
        <v>0</v>
      </c>
      <c r="B12" s="1">
        <f>((B7*Sheet1!C32+95*C14)/(Sheet1!C32+C14))</f>
        <v>96.34375</v>
      </c>
      <c r="C12" s="9">
        <f>B14*Sheet1!C32/(Sheet1!C28+0.1)-Sheet1!C32</f>
        <v>65.62499999999989</v>
      </c>
    </row>
    <row r="13" spans="1:3" ht="12.75">
      <c r="A13" t="s">
        <v>1</v>
      </c>
      <c r="B13" s="1">
        <f>(Sheet1!C32*B8+5*C14)/(Sheet1!C32+C14)</f>
        <v>2.9999999999999996</v>
      </c>
      <c r="C13" s="2">
        <f>IF(B8&lt;(Sheet1!C27-0.1),-Sheet1!C32*(B8-Sheet1!C27)/(5-Sheet1!C27),0)</f>
        <v>0</v>
      </c>
    </row>
    <row r="14" spans="1:3" ht="12.75">
      <c r="A14" t="s">
        <v>2</v>
      </c>
      <c r="B14" s="1">
        <f>B9*Sheet1!C32/(Sheet1!C32+C14)</f>
        <v>0.6562499999999999</v>
      </c>
      <c r="C14" s="2">
        <f>IF(C13&lt;0,0,C13)</f>
        <v>0</v>
      </c>
    </row>
    <row r="16" ht="12.75">
      <c r="A16">
        <f>IF(OR(Sheet1!C22&lt;99.8,Sheet1!C22&gt;100.2),0,1)</f>
        <v>1</v>
      </c>
    </row>
    <row r="17" ht="12.75">
      <c r="C17" s="2">
        <f>IF(C3&lt;0,0,C3)</f>
        <v>26.24999999999995</v>
      </c>
    </row>
    <row r="18" ht="12.75">
      <c r="C18" s="2">
        <f>IF(C4&lt;0,0,C4)</f>
        <v>39.374999999999936</v>
      </c>
    </row>
  </sheetData>
  <sheetProtection password="DA8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Kester Solder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Kester Solder</dc:creator>
  <cp:keywords/>
  <dc:description/>
  <cp:lastModifiedBy>Bryce Watson</cp:lastModifiedBy>
  <dcterms:created xsi:type="dcterms:W3CDTF">2004-10-08T20:20:20Z</dcterms:created>
  <dcterms:modified xsi:type="dcterms:W3CDTF">2005-01-10T20:08:45Z</dcterms:modified>
  <cp:category/>
  <cp:version/>
  <cp:contentType/>
  <cp:contentStatus/>
</cp:coreProperties>
</file>